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ФТПОМС\2021\Тарифное соглашение\Заседание 6\Материалы заседания\Приложения к протоколу\"/>
    </mc:Choice>
  </mc:AlternateContent>
  <bookViews>
    <workbookView xWindow="0" yWindow="0" windowWidth="28800" windowHeight="12135"/>
  </bookViews>
  <sheets>
    <sheet name="АПП поквартально" sheetId="1" r:id="rId1"/>
  </sheets>
  <definedNames>
    <definedName name="_xlnm._FilterDatabase" localSheetId="0" hidden="1">'АПП поквартально'!$A$9:$O$36</definedName>
    <definedName name="Z_D9A08047_01BB_4780_A06C_1B6ED4AE2AA5_.wvu.FilterData" localSheetId="0" hidden="1">'АПП поквартально'!#REF!</definedName>
    <definedName name="Z_DC48959C_9B8D_4708_B510_30BB10C5E634_.wvu.FilterData" localSheetId="0" hidden="1">'АПП поквартально'!#REF!</definedName>
    <definedName name="_xlnm.Print_Area" localSheetId="0">'АПП поквартально'!$A$1:$Q$36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5" i="1" l="1"/>
  <c r="O34" i="1"/>
  <c r="O26" i="1"/>
  <c r="O27" i="1"/>
  <c r="O28" i="1"/>
  <c r="O29" i="1"/>
  <c r="O30" i="1"/>
  <c r="O31" i="1"/>
  <c r="O32" i="1"/>
  <c r="O25" i="1"/>
  <c r="O20" i="1"/>
  <c r="O21" i="1"/>
  <c r="O22" i="1"/>
  <c r="O23" i="1"/>
  <c r="O19" i="1"/>
  <c r="O12" i="1"/>
  <c r="O13" i="1"/>
  <c r="O14" i="1"/>
  <c r="O15" i="1"/>
  <c r="O16" i="1"/>
  <c r="O17" i="1"/>
  <c r="O11" i="1"/>
  <c r="N35" i="1"/>
  <c r="N34" i="1"/>
  <c r="N26" i="1"/>
  <c r="N27" i="1"/>
  <c r="N28" i="1"/>
  <c r="N29" i="1"/>
  <c r="N30" i="1"/>
  <c r="N31" i="1"/>
  <c r="N32" i="1"/>
  <c r="N25" i="1"/>
  <c r="N20" i="1"/>
  <c r="N21" i="1"/>
  <c r="N22" i="1"/>
  <c r="N23" i="1"/>
  <c r="N19" i="1"/>
  <c r="N12" i="1"/>
  <c r="N13" i="1"/>
  <c r="N14" i="1"/>
  <c r="N15" i="1"/>
  <c r="N16" i="1"/>
  <c r="N17" i="1"/>
  <c r="N11" i="1"/>
  <c r="I31" i="1" l="1"/>
  <c r="I29" i="1"/>
  <c r="I27" i="1"/>
  <c r="I25" i="1"/>
  <c r="J31" i="1"/>
  <c r="J27" i="1"/>
  <c r="J25" i="1"/>
  <c r="I23" i="1"/>
  <c r="I21" i="1"/>
  <c r="I19" i="1"/>
  <c r="J23" i="1"/>
  <c r="J21" i="1"/>
  <c r="J19" i="1"/>
  <c r="I17" i="1"/>
  <c r="I16" i="1"/>
  <c r="I15" i="1"/>
  <c r="J17" i="1"/>
  <c r="J16" i="1"/>
  <c r="J15" i="1"/>
  <c r="G18" i="1" l="1"/>
  <c r="H18" i="1"/>
  <c r="I18" i="1"/>
  <c r="J18" i="1"/>
  <c r="L18" i="1"/>
  <c r="M18" i="1"/>
  <c r="N18" i="1"/>
  <c r="O18" i="1"/>
  <c r="K23" i="1"/>
  <c r="F23" i="1"/>
  <c r="D23" i="1" s="1"/>
  <c r="E23" i="1"/>
  <c r="K28" i="1"/>
  <c r="E28" i="1" s="1"/>
  <c r="F28" i="1"/>
  <c r="D28" i="1"/>
  <c r="K29" i="1"/>
  <c r="E29" i="1" s="1"/>
  <c r="F29" i="1"/>
  <c r="D29" i="1"/>
  <c r="K35" i="1"/>
  <c r="E35" i="1" s="1"/>
  <c r="F35" i="1"/>
  <c r="D35" i="1"/>
  <c r="P36" i="1"/>
  <c r="Q36" i="1"/>
  <c r="G33" i="1"/>
  <c r="H33" i="1"/>
  <c r="I33" i="1"/>
  <c r="J33" i="1"/>
  <c r="L33" i="1"/>
  <c r="M33" i="1"/>
  <c r="N33" i="1"/>
  <c r="O33" i="1"/>
  <c r="K34" i="1"/>
  <c r="E34" i="1" s="1"/>
  <c r="F34" i="1"/>
  <c r="F33" i="1" s="1"/>
  <c r="K26" i="1"/>
  <c r="E26" i="1" s="1"/>
  <c r="K27" i="1"/>
  <c r="E27" i="1" s="1"/>
  <c r="K30" i="1"/>
  <c r="E30" i="1" s="1"/>
  <c r="K31" i="1"/>
  <c r="E31" i="1" s="1"/>
  <c r="K32" i="1"/>
  <c r="E32" i="1" s="1"/>
  <c r="K25" i="1"/>
  <c r="E25" i="1" s="1"/>
  <c r="F26" i="1"/>
  <c r="D26" i="1" s="1"/>
  <c r="F27" i="1"/>
  <c r="D27" i="1" s="1"/>
  <c r="F30" i="1"/>
  <c r="D30" i="1" s="1"/>
  <c r="F31" i="1"/>
  <c r="D31" i="1" s="1"/>
  <c r="F32" i="1"/>
  <c r="D32" i="1" s="1"/>
  <c r="F25" i="1"/>
  <c r="D25" i="1" s="1"/>
  <c r="K20" i="1"/>
  <c r="E20" i="1" s="1"/>
  <c r="K21" i="1"/>
  <c r="E21" i="1" s="1"/>
  <c r="K22" i="1"/>
  <c r="E22" i="1" s="1"/>
  <c r="K19" i="1"/>
  <c r="E19" i="1" s="1"/>
  <c r="F20" i="1"/>
  <c r="D20" i="1" s="1"/>
  <c r="F21" i="1"/>
  <c r="F22" i="1"/>
  <c r="D22" i="1" s="1"/>
  <c r="F19" i="1"/>
  <c r="D19" i="1" s="1"/>
  <c r="K12" i="1"/>
  <c r="E12" i="1" s="1"/>
  <c r="K13" i="1"/>
  <c r="E13" i="1" s="1"/>
  <c r="K14" i="1"/>
  <c r="E14" i="1" s="1"/>
  <c r="K15" i="1"/>
  <c r="E15" i="1" s="1"/>
  <c r="K16" i="1"/>
  <c r="E16" i="1" s="1"/>
  <c r="K17" i="1"/>
  <c r="E17" i="1" s="1"/>
  <c r="K11" i="1"/>
  <c r="E11" i="1" s="1"/>
  <c r="F12" i="1"/>
  <c r="D12" i="1" s="1"/>
  <c r="F13" i="1"/>
  <c r="D13" i="1" s="1"/>
  <c r="F14" i="1"/>
  <c r="D14" i="1" s="1"/>
  <c r="F15" i="1"/>
  <c r="D15" i="1" s="1"/>
  <c r="F16" i="1"/>
  <c r="D16" i="1" s="1"/>
  <c r="F17" i="1"/>
  <c r="D17" i="1" s="1"/>
  <c r="F11" i="1"/>
  <c r="D11" i="1" s="1"/>
  <c r="G24" i="1"/>
  <c r="H24" i="1"/>
  <c r="I24" i="1"/>
  <c r="J24" i="1"/>
  <c r="L24" i="1"/>
  <c r="M24" i="1"/>
  <c r="N24" i="1"/>
  <c r="O24" i="1"/>
  <c r="E33" i="1" l="1"/>
  <c r="E18" i="1"/>
  <c r="K18" i="1"/>
  <c r="D34" i="1"/>
  <c r="D33" i="1" s="1"/>
  <c r="F18" i="1"/>
  <c r="D24" i="1"/>
  <c r="K33" i="1"/>
  <c r="D21" i="1"/>
  <c r="D18" i="1" s="1"/>
  <c r="E24" i="1"/>
  <c r="K24" i="1"/>
  <c r="F24" i="1"/>
  <c r="G10" i="1"/>
  <c r="G36" i="1" s="1"/>
  <c r="H10" i="1"/>
  <c r="H36" i="1" s="1"/>
  <c r="I10" i="1"/>
  <c r="I36" i="1" s="1"/>
  <c r="J10" i="1"/>
  <c r="J36" i="1" s="1"/>
  <c r="L10" i="1"/>
  <c r="L36" i="1" s="1"/>
  <c r="M10" i="1"/>
  <c r="M36" i="1" s="1"/>
  <c r="N10" i="1"/>
  <c r="N36" i="1" s="1"/>
  <c r="O10" i="1"/>
  <c r="O36" i="1" s="1"/>
  <c r="E10" i="1"/>
  <c r="D10" i="1"/>
  <c r="D36" i="1" l="1"/>
  <c r="E36" i="1"/>
  <c r="F10" i="1"/>
  <c r="F36" i="1" s="1"/>
  <c r="K10" i="1"/>
  <c r="K36" i="1" s="1"/>
  <c r="P17" i="1" l="1"/>
  <c r="Q17" i="1"/>
  <c r="Q11" i="1" l="1"/>
  <c r="P11" i="1" l="1"/>
</calcChain>
</file>

<file path=xl/sharedStrings.xml><?xml version="1.0" encoding="utf-8"?>
<sst xmlns="http://schemas.openxmlformats.org/spreadsheetml/2006/main" count="96" uniqueCount="47">
  <si>
    <t>Наименование МО</t>
  </si>
  <si>
    <t>Единица измерения</t>
  </si>
  <si>
    <t>Объем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</si>
  <si>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</si>
  <si>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</si>
  <si>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>услуга</t>
  </si>
  <si>
    <t>Всего</t>
  </si>
  <si>
    <t>ГБУЗ РТ "Дзун-Хемчинский ММЦ"</t>
  </si>
  <si>
    <t>Поквартальное распределение плановых объемов и стоимости на тестирование на COVID-19  в амбулаторных условиях на 2021 год</t>
  </si>
  <si>
    <t>ГБУЗ РТ "Инфекционная больница"</t>
  </si>
  <si>
    <t>исполнитель</t>
  </si>
  <si>
    <t xml:space="preserve"> МО-исполнитель/ МО-заказчик</t>
  </si>
  <si>
    <t>ГБУЗ РТ "Бай-Тайгинская ЦКБ"</t>
  </si>
  <si>
    <t>ГБУЗ РТ "Барун-Хемчинский ММЦ"</t>
  </si>
  <si>
    <t>ГБУЗ РТ "Монгун-Тайгинская ЦКБ"</t>
  </si>
  <si>
    <t>ГБУЗ РТ "Овюрская ЦКБ"</t>
  </si>
  <si>
    <t>ГБУЗ РТ "Сут-Хольская ЦКБ"</t>
  </si>
  <si>
    <t>ГБУЗ РТ "Чаа-Хольская ЦКБ"</t>
  </si>
  <si>
    <t>ГБУЗ РТ "Каа-Хемская  ЦКБ"</t>
  </si>
  <si>
    <t>ГБУЗ РТ "Кызылская  ЦКБ"</t>
  </si>
  <si>
    <t>ГБУЗ РТ "Пий-Хемская ЦКБ"</t>
  </si>
  <si>
    <t>ГБУЗ РТ "Тандинская ЦКБ"</t>
  </si>
  <si>
    <t>ГБУЗ РТ "Эрзинская ЦКБ"</t>
  </si>
  <si>
    <t>ГБУЗ РТ "Тере-Хольская ЦКБ"</t>
  </si>
  <si>
    <t>ГБУЗ РТ "Тоджинская ЦКБ"</t>
  </si>
  <si>
    <t>ГБУЗ РТ "Перинатальный центр"</t>
  </si>
  <si>
    <t>ГБУЗ РТ "Тес-Хемская ЦКБ"</t>
  </si>
  <si>
    <t>ГБУЗ РТ "Улуг-Хемская ЦКБ"</t>
  </si>
  <si>
    <t>ГБУЗ РТ "Чеди-Хольская ЦКБ"</t>
  </si>
  <si>
    <r>
      <t>ГБУЗ РТ "Городская поликлиника</t>
    </r>
    <r>
      <rPr>
        <u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г.Кызыла"</t>
    </r>
  </si>
  <si>
    <t>ГБУЗ РТ «Республиканский Центр по профилактике и борьбе со СПИД и инфекционными заболеваниями»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</si>
  <si>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</si>
  <si>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</si>
  <si>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</si>
  <si>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</si>
  <si>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</si>
  <si>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</si>
  <si>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</si>
  <si>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             </t>
  </si>
  <si>
    <t>Финансы (тыс. руб.)</t>
  </si>
  <si>
    <t>заказчик</t>
  </si>
  <si>
    <r>
      <t>ГБУЗ РТ "Республиканский кожно-венерологический ди</t>
    </r>
    <r>
      <rPr>
        <b/>
        <sz val="9"/>
        <rFont val="Times New Roman"/>
        <family val="1"/>
        <charset val="204"/>
      </rPr>
      <t>спансер"</t>
    </r>
  </si>
  <si>
    <t>ГБУЗ РТ "Республиканская детская больница"</t>
  </si>
  <si>
    <t>ГБУЗ РТ "Республиканская больница №1"</t>
  </si>
  <si>
    <t>ГБУЗ РТ "Республиканская больница №2"</t>
  </si>
  <si>
    <t>к Протоколу заседания Комиссии №6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</si>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</sst>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horizontal="left" vertical="top" wrapText="1"/>
    </xf>
    <xf numFmtId="0" fontId="4" fillId="0" borderId="0"/>
  </cellStyleXfs>
  <cellXfs count="39">
    <xf numFmtId="0" fontId="0" fillId="0" borderId="0" xfId="0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right" vertical="top" wrapText="1"/>
    </xf>
    <xf numFmtId="4" fontId="2" fillId="2" borderId="1" xfId="1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left" vertical="top"/>
    </xf>
    <xf numFmtId="0" fontId="2" fillId="0" borderId="1" xfId="1" applyNumberFormat="1" applyFont="1" applyFill="1" applyBorder="1" applyAlignment="1" applyProtection="1">
      <alignment horizontal="center" wrapText="1"/>
    </xf>
    <xf numFmtId="0" fontId="2" fillId="2" borderId="1" xfId="1" applyNumberFormat="1" applyFont="1" applyFill="1" applyBorder="1" applyAlignment="1" applyProtection="1">
      <alignment horizontal="left" vertical="top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6" fillId="2" borderId="1" xfId="1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/>
    <xf numFmtId="0" fontId="3" fillId="0" borderId="1" xfId="0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 wrapText="1"/>
    </xf>
    <xf numFmtId="1" fontId="5" fillId="0" borderId="1" xfId="0" applyNumberFormat="1" applyFont="1" applyFill="1" applyBorder="1" applyAlignment="1">
      <alignment horizontal="center"/>
    </xf>
    <xf numFmtId="0" fontId="3" fillId="0" borderId="0" xfId="0" applyFont="1" applyFill="1" applyBorder="1"/>
    <xf numFmtId="1" fontId="6" fillId="2" borderId="1" xfId="1" applyNumberFormat="1" applyFont="1" applyFill="1" applyBorder="1" applyAlignment="1" applyProtection="1">
      <alignment horizontal="center" vertical="center" wrapText="1"/>
    </xf>
    <xf numFmtId="1" fontId="2" fillId="0" borderId="1" xfId="1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 applyProtection="1">
      <alignment horizontal="right" vertical="center" wrapText="1"/>
    </xf>
    <xf numFmtId="164" fontId="2" fillId="0" borderId="1" xfId="1" applyNumberFormat="1" applyFont="1" applyFill="1" applyBorder="1" applyAlignment="1" applyProtection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right" vertical="center"/>
    </xf>
    <xf numFmtId="0" fontId="2" fillId="2" borderId="1" xfId="1" applyNumberFormat="1" applyFont="1" applyFill="1" applyBorder="1" applyAlignment="1" applyProtection="1">
      <alignment horizontal="left" vertical="top" wrapText="1"/>
    </xf>
    <xf numFmtId="0" fontId="9" fillId="0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6" fillId="2" borderId="1" xfId="1" applyNumberFormat="1" applyFont="1" applyFill="1" applyBorder="1" applyAlignment="1" applyProtection="1">
      <alignment horizontal="center" vertical="top" wrapText="1"/>
    </xf>
  </cellXfs>
  <cellStyles count="3">
    <cellStyle name="Excel Built-in Normal" xfId="2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view="pageBreakPreview" zoomScale="73" zoomScaleNormal="73" zoomScaleSheetLayoutView="73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L1" sqref="L1"/>
    </sheetView>
  </sheetViews>
  <sheetFormatPr defaultColWidth="9.140625" defaultRowHeight="12.75" x14ac:dyDescent="0.2"/>
  <cols>
    <col min="1" max="1" width="31.28515625" style="2" customWidth="1"/>
    <col min="2" max="2" width="20.42578125" style="3" customWidth="1"/>
    <col min="3" max="3" width="15" style="3" customWidth="1"/>
    <col min="4" max="4" width="10.42578125" style="3" customWidth="1"/>
    <col min="5" max="5" width="12.28515625" style="3" customWidth="1"/>
    <col min="6" max="10" width="11" style="4" customWidth="1"/>
    <col min="11" max="11" width="11.85546875" style="4" customWidth="1"/>
    <col min="12" max="12" width="12.140625" style="4" customWidth="1"/>
    <col min="13" max="13" width="10.7109375" style="4" customWidth="1"/>
    <col min="14" max="14" width="11" style="4" customWidth="1"/>
    <col min="15" max="15" width="10.5703125" style="4" customWidth="1"/>
    <col min="16" max="16" width="10.140625" style="3" hidden="1" customWidth="1"/>
    <col min="17" max="17" width="9.28515625" style="3" hidden="1" customWidth="1"/>
    <col min="18" max="19" width="9.28515625" style="3" bestFit="1" customWidth="1"/>
    <col min="20" max="20" width="9.7109375" style="3" bestFit="1" customWidth="1"/>
    <col min="21" max="22" width="9.28515625" style="3" bestFit="1" customWidth="1"/>
    <col min="23" max="16384" width="9.140625" style="3"/>
  </cols>
  <sheetData>
    <row r="1" spans="1:17" x14ac:dyDescent="0.2">
      <c r="L1" s="1" t="s">
        <v>46</v>
      </c>
    </row>
    <row r="2" spans="1:17" x14ac:dyDescent="0.2">
      <c r="L2" s="1" t="s">
        <v>45</v>
      </c>
    </row>
    <row r="3" spans="1:17" x14ac:dyDescent="0.2">
      <c r="L3" s="1"/>
    </row>
    <row r="4" spans="1:17" x14ac:dyDescent="0.2">
      <c r="A4" s="35" t="s">
        <v>8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7" x14ac:dyDescent="0.2">
      <c r="A5" s="3"/>
      <c r="C5" s="14"/>
    </row>
    <row r="6" spans="1:17" x14ac:dyDescent="0.2">
      <c r="A6" s="36" t="s">
        <v>0</v>
      </c>
      <c r="B6" s="37" t="s">
        <v>11</v>
      </c>
      <c r="C6" s="37" t="s">
        <v>1</v>
      </c>
      <c r="D6" s="37" t="s">
        <v>2</v>
      </c>
      <c r="E6" s="37" t="s">
        <v>39</v>
      </c>
      <c r="F6" s="38" t="s">
        <v>3</v>
      </c>
      <c r="G6" s="37"/>
      <c r="H6" s="37"/>
      <c r="I6" s="37"/>
      <c r="J6" s="37"/>
      <c r="K6" s="37"/>
      <c r="L6" s="37"/>
      <c r="M6" s="37"/>
      <c r="N6" s="37"/>
      <c r="O6" s="37"/>
    </row>
    <row r="7" spans="1:17" x14ac:dyDescent="0.2">
      <c r="A7" s="36"/>
      <c r="B7" s="37"/>
      <c r="C7" s="37"/>
      <c r="D7" s="37"/>
      <c r="E7" s="37"/>
      <c r="F7" s="37" t="s">
        <v>2</v>
      </c>
      <c r="G7" s="37"/>
      <c r="H7" s="37"/>
      <c r="I7" s="37"/>
      <c r="J7" s="37"/>
      <c r="K7" s="37" t="s">
        <v>39</v>
      </c>
      <c r="L7" s="37"/>
      <c r="M7" s="37"/>
      <c r="N7" s="37"/>
      <c r="O7" s="37"/>
    </row>
    <row r="8" spans="1:17" x14ac:dyDescent="0.2">
      <c r="A8" s="36"/>
      <c r="B8" s="37"/>
      <c r="C8" s="37"/>
      <c r="D8" s="37"/>
      <c r="E8" s="37"/>
      <c r="F8" s="5" t="s">
        <v>4</v>
      </c>
      <c r="G8" s="5" t="s">
        <v>31</v>
      </c>
      <c r="H8" s="5" t="s">
        <v>32</v>
      </c>
      <c r="I8" s="5" t="s">
        <v>33</v>
      </c>
      <c r="J8" s="5" t="s">
        <v>34</v>
      </c>
      <c r="K8" s="5" t="s">
        <v>4</v>
      </c>
      <c r="L8" s="5" t="s">
        <v>35</v>
      </c>
      <c r="M8" s="5" t="s">
        <v>36</v>
      </c>
      <c r="N8" s="5" t="s">
        <v>37</v>
      </c>
      <c r="O8" s="5" t="s">
        <v>38</v>
      </c>
    </row>
    <row r="9" spans="1:17" x14ac:dyDescent="0.2">
      <c r="A9" s="33"/>
      <c r="B9" s="33"/>
      <c r="C9" s="33"/>
      <c r="D9" s="6"/>
      <c r="E9" s="7"/>
      <c r="F9" s="6"/>
      <c r="G9" s="6"/>
      <c r="H9" s="6"/>
      <c r="I9" s="6"/>
      <c r="J9" s="6"/>
      <c r="K9" s="7"/>
      <c r="L9" s="7"/>
      <c r="M9" s="7"/>
      <c r="N9" s="7"/>
      <c r="O9" s="7"/>
    </row>
    <row r="10" spans="1:17" ht="27" customHeight="1" x14ac:dyDescent="0.2">
      <c r="A10" s="13" t="s">
        <v>7</v>
      </c>
      <c r="B10" s="10" t="s">
        <v>10</v>
      </c>
      <c r="C10" s="11"/>
      <c r="D10" s="20">
        <f>SUM(D11:D17)</f>
        <v>10784</v>
      </c>
      <c r="E10" s="27">
        <f t="shared" ref="E10:O10" si="0">SUM(E11:E17)</f>
        <v>10844.929599999999</v>
      </c>
      <c r="F10" s="20">
        <f t="shared" si="0"/>
        <v>10784</v>
      </c>
      <c r="G10" s="20">
        <f t="shared" si="0"/>
        <v>0</v>
      </c>
      <c r="H10" s="20">
        <f t="shared" si="0"/>
        <v>0</v>
      </c>
      <c r="I10" s="20">
        <f t="shared" si="0"/>
        <v>5471</v>
      </c>
      <c r="J10" s="20">
        <f t="shared" si="0"/>
        <v>5313</v>
      </c>
      <c r="K10" s="27">
        <f t="shared" si="0"/>
        <v>10844.929599999999</v>
      </c>
      <c r="L10" s="27">
        <f t="shared" si="0"/>
        <v>0</v>
      </c>
      <c r="M10" s="27">
        <f t="shared" si="0"/>
        <v>0</v>
      </c>
      <c r="N10" s="27">
        <f t="shared" si="0"/>
        <v>5501.911149999999</v>
      </c>
      <c r="O10" s="27">
        <f t="shared" si="0"/>
        <v>5343.0184499999996</v>
      </c>
    </row>
    <row r="11" spans="1:17" s="8" customFormat="1" ht="26.25" customHeight="1" x14ac:dyDescent="0.2">
      <c r="A11" s="12" t="s">
        <v>12</v>
      </c>
      <c r="B11" s="10" t="s">
        <v>40</v>
      </c>
      <c r="C11" s="10" t="s">
        <v>5</v>
      </c>
      <c r="D11" s="21">
        <f>F11</f>
        <v>1440</v>
      </c>
      <c r="E11" s="28">
        <f>K11</f>
        <v>1448.136</v>
      </c>
      <c r="F11" s="21">
        <f>SUM(G11:J11)</f>
        <v>1440</v>
      </c>
      <c r="G11" s="21">
        <v>0</v>
      </c>
      <c r="H11" s="21">
        <v>0</v>
      </c>
      <c r="I11" s="21">
        <v>720</v>
      </c>
      <c r="J11" s="21">
        <v>720</v>
      </c>
      <c r="K11" s="28">
        <f>SUM(L11:O11)</f>
        <v>1448.136</v>
      </c>
      <c r="L11" s="28">
        <v>0</v>
      </c>
      <c r="M11" s="28">
        <v>0</v>
      </c>
      <c r="N11" s="28">
        <f>I11*1005.65/1000</f>
        <v>724.06799999999998</v>
      </c>
      <c r="O11" s="28">
        <f>J11*1005.65/1000</f>
        <v>724.06799999999998</v>
      </c>
      <c r="P11" s="9">
        <f t="shared" ref="P11:P17" si="1">D11-F11</f>
        <v>0</v>
      </c>
      <c r="Q11" s="9">
        <f t="shared" ref="Q11:Q17" si="2">E11-K11</f>
        <v>0</v>
      </c>
    </row>
    <row r="12" spans="1:17" s="8" customFormat="1" ht="26.25" customHeight="1" x14ac:dyDescent="0.2">
      <c r="A12" s="12" t="s">
        <v>13</v>
      </c>
      <c r="B12" s="10" t="s">
        <v>40</v>
      </c>
      <c r="C12" s="10" t="s">
        <v>5</v>
      </c>
      <c r="D12" s="21">
        <f t="shared" ref="D12:D17" si="3">F12</f>
        <v>2400</v>
      </c>
      <c r="E12" s="28">
        <f t="shared" ref="E12:E17" si="4">K12</f>
        <v>2413.56</v>
      </c>
      <c r="F12" s="21">
        <f t="shared" ref="F12:F17" si="5">SUM(G12:J12)</f>
        <v>2400</v>
      </c>
      <c r="G12" s="21">
        <v>0</v>
      </c>
      <c r="H12" s="21">
        <v>0</v>
      </c>
      <c r="I12" s="21">
        <v>1200</v>
      </c>
      <c r="J12" s="21">
        <v>1200</v>
      </c>
      <c r="K12" s="28">
        <f t="shared" ref="K12:K17" si="6">SUM(L12:O12)</f>
        <v>2413.56</v>
      </c>
      <c r="L12" s="28">
        <v>0</v>
      </c>
      <c r="M12" s="28">
        <v>0</v>
      </c>
      <c r="N12" s="28">
        <f t="shared" ref="N12:N17" si="7">I12*1005.65/1000</f>
        <v>1206.78</v>
      </c>
      <c r="O12" s="28">
        <f t="shared" ref="O12:O17" si="8">J12*1005.65/1000</f>
        <v>1206.78</v>
      </c>
      <c r="P12" s="9"/>
      <c r="Q12" s="9"/>
    </row>
    <row r="13" spans="1:17" s="8" customFormat="1" ht="26.25" customHeight="1" x14ac:dyDescent="0.2">
      <c r="A13" s="12" t="s">
        <v>7</v>
      </c>
      <c r="B13" s="10" t="s">
        <v>40</v>
      </c>
      <c r="C13" s="10" t="s">
        <v>5</v>
      </c>
      <c r="D13" s="21">
        <f t="shared" si="3"/>
        <v>3000</v>
      </c>
      <c r="E13" s="28">
        <f t="shared" si="4"/>
        <v>3016.95</v>
      </c>
      <c r="F13" s="21">
        <f t="shared" si="5"/>
        <v>3000</v>
      </c>
      <c r="G13" s="24">
        <v>0</v>
      </c>
      <c r="H13" s="24">
        <v>0</v>
      </c>
      <c r="I13" s="24">
        <v>1500</v>
      </c>
      <c r="J13" s="24">
        <v>1500</v>
      </c>
      <c r="K13" s="28">
        <f t="shared" si="6"/>
        <v>3016.95</v>
      </c>
      <c r="L13" s="28">
        <v>0</v>
      </c>
      <c r="M13" s="28">
        <v>0</v>
      </c>
      <c r="N13" s="28">
        <f t="shared" si="7"/>
        <v>1508.4749999999999</v>
      </c>
      <c r="O13" s="28">
        <f t="shared" si="8"/>
        <v>1508.4749999999999</v>
      </c>
      <c r="P13" s="9"/>
      <c r="Q13" s="9"/>
    </row>
    <row r="14" spans="1:17" s="8" customFormat="1" ht="32.25" customHeight="1" x14ac:dyDescent="0.2">
      <c r="A14" s="12" t="s">
        <v>14</v>
      </c>
      <c r="B14" s="10" t="s">
        <v>40</v>
      </c>
      <c r="C14" s="10" t="s">
        <v>5</v>
      </c>
      <c r="D14" s="21">
        <f t="shared" si="3"/>
        <v>490</v>
      </c>
      <c r="E14" s="28">
        <f t="shared" si="4"/>
        <v>492.76850000000002</v>
      </c>
      <c r="F14" s="21">
        <f t="shared" si="5"/>
        <v>490</v>
      </c>
      <c r="G14" s="24">
        <v>0</v>
      </c>
      <c r="H14" s="24">
        <v>0</v>
      </c>
      <c r="I14" s="24">
        <v>250</v>
      </c>
      <c r="J14" s="24">
        <v>240</v>
      </c>
      <c r="K14" s="28">
        <f t="shared" si="6"/>
        <v>492.76850000000002</v>
      </c>
      <c r="L14" s="28">
        <v>0</v>
      </c>
      <c r="M14" s="28">
        <v>0</v>
      </c>
      <c r="N14" s="28">
        <f t="shared" si="7"/>
        <v>251.41249999999999</v>
      </c>
      <c r="O14" s="28">
        <f t="shared" si="8"/>
        <v>241.35599999999999</v>
      </c>
      <c r="P14" s="9"/>
      <c r="Q14" s="9"/>
    </row>
    <row r="15" spans="1:17" s="8" customFormat="1" ht="27" customHeight="1" x14ac:dyDescent="0.2">
      <c r="A15" s="12" t="s">
        <v>15</v>
      </c>
      <c r="B15" s="10" t="s">
        <v>40</v>
      </c>
      <c r="C15" s="10" t="s">
        <v>5</v>
      </c>
      <c r="D15" s="21">
        <f t="shared" si="3"/>
        <v>1157</v>
      </c>
      <c r="E15" s="28">
        <f t="shared" si="4"/>
        <v>1163.5370499999999</v>
      </c>
      <c r="F15" s="21">
        <f t="shared" si="5"/>
        <v>1157</v>
      </c>
      <c r="G15" s="24">
        <v>0</v>
      </c>
      <c r="H15" s="24">
        <v>0</v>
      </c>
      <c r="I15" s="24">
        <f>324+312</f>
        <v>636</v>
      </c>
      <c r="J15" s="24">
        <f>312+209</f>
        <v>521</v>
      </c>
      <c r="K15" s="28">
        <f t="shared" si="6"/>
        <v>1163.5370499999999</v>
      </c>
      <c r="L15" s="28">
        <v>0</v>
      </c>
      <c r="M15" s="28">
        <v>0</v>
      </c>
      <c r="N15" s="28">
        <f t="shared" si="7"/>
        <v>639.59339999999997</v>
      </c>
      <c r="O15" s="28">
        <f t="shared" si="8"/>
        <v>523.94364999999993</v>
      </c>
      <c r="P15" s="9"/>
      <c r="Q15" s="9"/>
    </row>
    <row r="16" spans="1:17" s="8" customFormat="1" ht="27" customHeight="1" x14ac:dyDescent="0.2">
      <c r="A16" s="12" t="s">
        <v>16</v>
      </c>
      <c r="B16" s="10" t="s">
        <v>40</v>
      </c>
      <c r="C16" s="10" t="s">
        <v>5</v>
      </c>
      <c r="D16" s="21">
        <f t="shared" si="3"/>
        <v>1286</v>
      </c>
      <c r="E16" s="28">
        <f t="shared" si="4"/>
        <v>1293.2658999999999</v>
      </c>
      <c r="F16" s="21">
        <f t="shared" si="5"/>
        <v>1286</v>
      </c>
      <c r="G16" s="24">
        <v>0</v>
      </c>
      <c r="H16" s="24">
        <v>0</v>
      </c>
      <c r="I16" s="24">
        <f>328+325</f>
        <v>653</v>
      </c>
      <c r="J16" s="24">
        <f>324+309</f>
        <v>633</v>
      </c>
      <c r="K16" s="28">
        <f t="shared" si="6"/>
        <v>1293.2658999999999</v>
      </c>
      <c r="L16" s="28">
        <v>0</v>
      </c>
      <c r="M16" s="28">
        <v>0</v>
      </c>
      <c r="N16" s="28">
        <f t="shared" si="7"/>
        <v>656.68944999999997</v>
      </c>
      <c r="O16" s="28">
        <f t="shared" si="8"/>
        <v>636.57644999999991</v>
      </c>
      <c r="P16" s="9"/>
      <c r="Q16" s="9"/>
    </row>
    <row r="17" spans="1:17" s="8" customFormat="1" ht="26.25" customHeight="1" x14ac:dyDescent="0.2">
      <c r="A17" s="12" t="s">
        <v>17</v>
      </c>
      <c r="B17" s="10" t="s">
        <v>40</v>
      </c>
      <c r="C17" s="10" t="s">
        <v>5</v>
      </c>
      <c r="D17" s="21">
        <f t="shared" si="3"/>
        <v>1011</v>
      </c>
      <c r="E17" s="28">
        <f t="shared" si="4"/>
        <v>1016.71215</v>
      </c>
      <c r="F17" s="21">
        <f t="shared" si="5"/>
        <v>1011</v>
      </c>
      <c r="G17" s="24">
        <v>0</v>
      </c>
      <c r="H17" s="24">
        <v>0</v>
      </c>
      <c r="I17" s="24">
        <f>263+249</f>
        <v>512</v>
      </c>
      <c r="J17" s="24">
        <f>249+250</f>
        <v>499</v>
      </c>
      <c r="K17" s="28">
        <f t="shared" si="6"/>
        <v>1016.71215</v>
      </c>
      <c r="L17" s="28">
        <v>0</v>
      </c>
      <c r="M17" s="28">
        <v>0</v>
      </c>
      <c r="N17" s="28">
        <f t="shared" si="7"/>
        <v>514.89279999999997</v>
      </c>
      <c r="O17" s="28">
        <f t="shared" si="8"/>
        <v>501.81934999999999</v>
      </c>
      <c r="P17" s="9">
        <f t="shared" si="1"/>
        <v>0</v>
      </c>
      <c r="Q17" s="9">
        <f t="shared" si="2"/>
        <v>0</v>
      </c>
    </row>
    <row r="18" spans="1:17" s="8" customFormat="1" ht="29.25" customHeight="1" x14ac:dyDescent="0.2">
      <c r="A18" s="13" t="s">
        <v>9</v>
      </c>
      <c r="B18" s="10" t="s">
        <v>10</v>
      </c>
      <c r="C18" s="10"/>
      <c r="D18" s="22">
        <f>SUM(D19:D23)</f>
        <v>8132</v>
      </c>
      <c r="E18" s="29">
        <f t="shared" ref="E18:O18" si="9">SUM(E19:E23)</f>
        <v>8177.9457999999995</v>
      </c>
      <c r="F18" s="22">
        <f t="shared" si="9"/>
        <v>8132</v>
      </c>
      <c r="G18" s="22">
        <f t="shared" si="9"/>
        <v>0</v>
      </c>
      <c r="H18" s="22">
        <f t="shared" si="9"/>
        <v>0</v>
      </c>
      <c r="I18" s="22">
        <f t="shared" si="9"/>
        <v>4079</v>
      </c>
      <c r="J18" s="22">
        <f t="shared" si="9"/>
        <v>4053</v>
      </c>
      <c r="K18" s="29">
        <f t="shared" si="9"/>
        <v>8177.9457999999995</v>
      </c>
      <c r="L18" s="29">
        <f t="shared" si="9"/>
        <v>0</v>
      </c>
      <c r="M18" s="29">
        <f t="shared" si="9"/>
        <v>0</v>
      </c>
      <c r="N18" s="29">
        <f t="shared" si="9"/>
        <v>4102.0463500000005</v>
      </c>
      <c r="O18" s="29">
        <f t="shared" si="9"/>
        <v>4075.8994500000003</v>
      </c>
      <c r="P18" s="9"/>
      <c r="Q18" s="9"/>
    </row>
    <row r="19" spans="1:17" s="8" customFormat="1" ht="29.25" customHeight="1" x14ac:dyDescent="0.2">
      <c r="A19" s="12" t="s">
        <v>18</v>
      </c>
      <c r="B19" s="10" t="s">
        <v>40</v>
      </c>
      <c r="C19" s="10" t="s">
        <v>5</v>
      </c>
      <c r="D19" s="23">
        <f>F19</f>
        <v>1614</v>
      </c>
      <c r="E19" s="30">
        <f>K19</f>
        <v>1623.1190999999999</v>
      </c>
      <c r="F19" s="24">
        <f>SUM(G19:J19)</f>
        <v>1614</v>
      </c>
      <c r="G19" s="24">
        <v>0</v>
      </c>
      <c r="H19" s="24">
        <v>0</v>
      </c>
      <c r="I19" s="24">
        <f>413+399</f>
        <v>812</v>
      </c>
      <c r="J19" s="24">
        <f>403+399</f>
        <v>802</v>
      </c>
      <c r="K19" s="30">
        <f>SUM(L19:O19)</f>
        <v>1623.1190999999999</v>
      </c>
      <c r="L19" s="30">
        <v>0</v>
      </c>
      <c r="M19" s="30">
        <v>0</v>
      </c>
      <c r="N19" s="30">
        <f>I19*1005.65/1000</f>
        <v>816.5877999999999</v>
      </c>
      <c r="O19" s="30">
        <f>J19*1005.65/1000</f>
        <v>806.53129999999987</v>
      </c>
      <c r="P19" s="9"/>
      <c r="Q19" s="9"/>
    </row>
    <row r="20" spans="1:17" s="8" customFormat="1" ht="26.25" customHeight="1" x14ac:dyDescent="0.2">
      <c r="A20" s="12" t="s">
        <v>19</v>
      </c>
      <c r="B20" s="10" t="s">
        <v>40</v>
      </c>
      <c r="C20" s="10" t="s">
        <v>5</v>
      </c>
      <c r="D20" s="23">
        <f t="shared" ref="D20:D23" si="10">F20</f>
        <v>3000</v>
      </c>
      <c r="E20" s="30">
        <f t="shared" ref="E20:E23" si="11">K20</f>
        <v>3016.95</v>
      </c>
      <c r="F20" s="24">
        <f t="shared" ref="F20:F23" si="12">SUM(G20:J20)</f>
        <v>3000</v>
      </c>
      <c r="G20" s="24">
        <v>0</v>
      </c>
      <c r="H20" s="24">
        <v>0</v>
      </c>
      <c r="I20" s="24">
        <v>1500</v>
      </c>
      <c r="J20" s="24">
        <v>1500</v>
      </c>
      <c r="K20" s="30">
        <f t="shared" ref="K20:K23" si="13">SUM(L20:O20)</f>
        <v>3016.95</v>
      </c>
      <c r="L20" s="30">
        <v>0</v>
      </c>
      <c r="M20" s="30">
        <v>0</v>
      </c>
      <c r="N20" s="30">
        <f t="shared" ref="N20:N23" si="14">I20*1005.65/1000</f>
        <v>1508.4749999999999</v>
      </c>
      <c r="O20" s="30">
        <f t="shared" ref="O20:O23" si="15">J20*1005.65/1000</f>
        <v>1508.4749999999999</v>
      </c>
      <c r="P20" s="9"/>
      <c r="Q20" s="9"/>
    </row>
    <row r="21" spans="1:17" s="8" customFormat="1" ht="26.25" customHeight="1" x14ac:dyDescent="0.2">
      <c r="A21" s="12" t="s">
        <v>20</v>
      </c>
      <c r="B21" s="10" t="s">
        <v>40</v>
      </c>
      <c r="C21" s="10" t="s">
        <v>5</v>
      </c>
      <c r="D21" s="23">
        <f t="shared" si="10"/>
        <v>1560</v>
      </c>
      <c r="E21" s="30">
        <f t="shared" si="11"/>
        <v>1568.8140000000001</v>
      </c>
      <c r="F21" s="24">
        <f t="shared" si="12"/>
        <v>1560</v>
      </c>
      <c r="G21" s="24">
        <v>0</v>
      </c>
      <c r="H21" s="24">
        <v>0</v>
      </c>
      <c r="I21" s="24">
        <f>390+390</f>
        <v>780</v>
      </c>
      <c r="J21" s="24">
        <f>390+390</f>
        <v>780</v>
      </c>
      <c r="K21" s="30">
        <f t="shared" si="13"/>
        <v>1568.8140000000001</v>
      </c>
      <c r="L21" s="30">
        <v>0</v>
      </c>
      <c r="M21" s="30">
        <v>0</v>
      </c>
      <c r="N21" s="30">
        <f t="shared" si="14"/>
        <v>784.40700000000004</v>
      </c>
      <c r="O21" s="30">
        <f t="shared" si="15"/>
        <v>784.40700000000004</v>
      </c>
      <c r="P21" s="9">
        <v>0</v>
      </c>
      <c r="Q21" s="9">
        <v>0</v>
      </c>
    </row>
    <row r="22" spans="1:17" s="8" customFormat="1" ht="23.25" customHeight="1" x14ac:dyDescent="0.2">
      <c r="A22" s="12" t="s">
        <v>21</v>
      </c>
      <c r="B22" s="10" t="s">
        <v>40</v>
      </c>
      <c r="C22" s="10" t="s">
        <v>5</v>
      </c>
      <c r="D22" s="23">
        <f t="shared" si="10"/>
        <v>1440</v>
      </c>
      <c r="E22" s="30">
        <f t="shared" si="11"/>
        <v>1448.136</v>
      </c>
      <c r="F22" s="24">
        <f t="shared" si="12"/>
        <v>1440</v>
      </c>
      <c r="G22" s="24">
        <v>0</v>
      </c>
      <c r="H22" s="24">
        <v>0</v>
      </c>
      <c r="I22" s="24">
        <v>720</v>
      </c>
      <c r="J22" s="24">
        <v>720</v>
      </c>
      <c r="K22" s="30">
        <f t="shared" si="13"/>
        <v>1448.136</v>
      </c>
      <c r="L22" s="30">
        <v>0</v>
      </c>
      <c r="M22" s="30">
        <v>0</v>
      </c>
      <c r="N22" s="30">
        <f t="shared" si="14"/>
        <v>724.06799999999998</v>
      </c>
      <c r="O22" s="30">
        <f t="shared" si="15"/>
        <v>724.06799999999998</v>
      </c>
      <c r="P22" s="9"/>
      <c r="Q22" s="9"/>
    </row>
    <row r="23" spans="1:17" s="8" customFormat="1" ht="29.25" customHeight="1" x14ac:dyDescent="0.2">
      <c r="A23" s="12" t="s">
        <v>23</v>
      </c>
      <c r="B23" s="10" t="s">
        <v>40</v>
      </c>
      <c r="C23" s="10" t="s">
        <v>5</v>
      </c>
      <c r="D23" s="24">
        <f t="shared" si="10"/>
        <v>518</v>
      </c>
      <c r="E23" s="30">
        <f t="shared" si="11"/>
        <v>520.92669999999998</v>
      </c>
      <c r="F23" s="24">
        <f t="shared" si="12"/>
        <v>518</v>
      </c>
      <c r="G23" s="24">
        <v>0</v>
      </c>
      <c r="H23" s="24">
        <v>0</v>
      </c>
      <c r="I23" s="24">
        <f>141+126</f>
        <v>267</v>
      </c>
      <c r="J23" s="24">
        <f>125+126</f>
        <v>251</v>
      </c>
      <c r="K23" s="30">
        <f t="shared" si="13"/>
        <v>520.92669999999998</v>
      </c>
      <c r="L23" s="30">
        <v>0</v>
      </c>
      <c r="M23" s="30">
        <v>0</v>
      </c>
      <c r="N23" s="30">
        <f t="shared" si="14"/>
        <v>268.50855000000001</v>
      </c>
      <c r="O23" s="30">
        <f t="shared" si="15"/>
        <v>252.41815</v>
      </c>
      <c r="P23" s="9"/>
      <c r="Q23" s="9"/>
    </row>
    <row r="24" spans="1:17" s="8" customFormat="1" ht="36" customHeight="1" x14ac:dyDescent="0.2">
      <c r="A24" s="13" t="s">
        <v>41</v>
      </c>
      <c r="B24" s="10" t="s">
        <v>10</v>
      </c>
      <c r="C24" s="10"/>
      <c r="D24" s="22">
        <f t="shared" ref="D24:O24" si="16">SUM(D25:D32)</f>
        <v>15026</v>
      </c>
      <c r="E24" s="29">
        <f t="shared" si="16"/>
        <v>15110.896900000002</v>
      </c>
      <c r="F24" s="22">
        <f t="shared" si="16"/>
        <v>15026</v>
      </c>
      <c r="G24" s="22">
        <f t="shared" si="16"/>
        <v>0</v>
      </c>
      <c r="H24" s="22">
        <f t="shared" si="16"/>
        <v>0</v>
      </c>
      <c r="I24" s="22">
        <f t="shared" si="16"/>
        <v>7524</v>
      </c>
      <c r="J24" s="22">
        <f t="shared" si="16"/>
        <v>7502</v>
      </c>
      <c r="K24" s="29">
        <f t="shared" si="16"/>
        <v>15110.896900000002</v>
      </c>
      <c r="L24" s="29">
        <f t="shared" si="16"/>
        <v>0</v>
      </c>
      <c r="M24" s="29">
        <f t="shared" si="16"/>
        <v>0</v>
      </c>
      <c r="N24" s="29">
        <f t="shared" si="16"/>
        <v>7566.5105999999996</v>
      </c>
      <c r="O24" s="29">
        <f t="shared" si="16"/>
        <v>7544.3863000000001</v>
      </c>
      <c r="P24" s="9"/>
      <c r="Q24" s="9"/>
    </row>
    <row r="25" spans="1:17" s="8" customFormat="1" ht="24" customHeight="1" x14ac:dyDescent="0.2">
      <c r="A25" s="12" t="s">
        <v>43</v>
      </c>
      <c r="B25" s="10" t="s">
        <v>40</v>
      </c>
      <c r="C25" s="10" t="s">
        <v>5</v>
      </c>
      <c r="D25" s="24">
        <f>F25</f>
        <v>3482</v>
      </c>
      <c r="E25" s="30">
        <f>K25</f>
        <v>3501.6732999999999</v>
      </c>
      <c r="F25" s="24">
        <f>SUM(G25:J25)</f>
        <v>3482</v>
      </c>
      <c r="G25" s="24">
        <v>0</v>
      </c>
      <c r="H25" s="24">
        <v>0</v>
      </c>
      <c r="I25" s="24">
        <f>880+876</f>
        <v>1756</v>
      </c>
      <c r="J25" s="24">
        <f>876+850</f>
        <v>1726</v>
      </c>
      <c r="K25" s="30">
        <f>SUM(L25:O25)</f>
        <v>3501.6732999999999</v>
      </c>
      <c r="L25" s="30">
        <v>0</v>
      </c>
      <c r="M25" s="30">
        <v>0</v>
      </c>
      <c r="N25" s="30">
        <f>I25*1005.65/1000</f>
        <v>1765.9213999999999</v>
      </c>
      <c r="O25" s="30">
        <f>J25*1005.65/1000</f>
        <v>1735.7519</v>
      </c>
      <c r="P25" s="9"/>
      <c r="Q25" s="9"/>
    </row>
    <row r="26" spans="1:17" s="8" customFormat="1" ht="24" customHeight="1" x14ac:dyDescent="0.2">
      <c r="A26" s="12" t="s">
        <v>44</v>
      </c>
      <c r="B26" s="10" t="s">
        <v>40</v>
      </c>
      <c r="C26" s="10" t="s">
        <v>5</v>
      </c>
      <c r="D26" s="24">
        <f t="shared" ref="D26:D32" si="17">F26</f>
        <v>600</v>
      </c>
      <c r="E26" s="30">
        <f t="shared" ref="E26:E32" si="18">K26</f>
        <v>603.39</v>
      </c>
      <c r="F26" s="24">
        <f t="shared" ref="F26:F32" si="19">SUM(G26:J26)</f>
        <v>600</v>
      </c>
      <c r="G26" s="24">
        <v>0</v>
      </c>
      <c r="H26" s="24">
        <v>0</v>
      </c>
      <c r="I26" s="24">
        <v>300</v>
      </c>
      <c r="J26" s="24">
        <v>300</v>
      </c>
      <c r="K26" s="30">
        <f t="shared" ref="K26:K32" si="20">SUM(L26:O26)</f>
        <v>603.39</v>
      </c>
      <c r="L26" s="30">
        <v>0</v>
      </c>
      <c r="M26" s="30">
        <v>0</v>
      </c>
      <c r="N26" s="30">
        <f t="shared" ref="N26:N32" si="21">I26*1005.65/1000</f>
        <v>301.69499999999999</v>
      </c>
      <c r="O26" s="30">
        <f t="shared" ref="O26:O32" si="22">J26*1005.65/1000</f>
        <v>301.69499999999999</v>
      </c>
      <c r="P26" s="9"/>
      <c r="Q26" s="9"/>
    </row>
    <row r="27" spans="1:17" s="8" customFormat="1" ht="27" customHeight="1" x14ac:dyDescent="0.2">
      <c r="A27" s="12" t="s">
        <v>29</v>
      </c>
      <c r="B27" s="10" t="s">
        <v>40</v>
      </c>
      <c r="C27" s="10" t="s">
        <v>5</v>
      </c>
      <c r="D27" s="24">
        <f t="shared" si="17"/>
        <v>3370</v>
      </c>
      <c r="E27" s="30">
        <f t="shared" si="18"/>
        <v>3389.0405000000001</v>
      </c>
      <c r="F27" s="24">
        <f t="shared" si="19"/>
        <v>3370</v>
      </c>
      <c r="G27" s="24">
        <v>0</v>
      </c>
      <c r="H27" s="24">
        <v>0</v>
      </c>
      <c r="I27" s="24">
        <f>840+840</f>
        <v>1680</v>
      </c>
      <c r="J27" s="24">
        <f>840+850</f>
        <v>1690</v>
      </c>
      <c r="K27" s="30">
        <f t="shared" si="20"/>
        <v>3389.0405000000001</v>
      </c>
      <c r="L27" s="30">
        <v>0</v>
      </c>
      <c r="M27" s="30">
        <v>0</v>
      </c>
      <c r="N27" s="30">
        <f t="shared" si="21"/>
        <v>1689.492</v>
      </c>
      <c r="O27" s="30">
        <f t="shared" si="22"/>
        <v>1699.5485000000001</v>
      </c>
      <c r="P27" s="9"/>
      <c r="Q27" s="9"/>
    </row>
    <row r="28" spans="1:17" s="8" customFormat="1" ht="24" customHeight="1" x14ac:dyDescent="0.2">
      <c r="A28" s="12" t="s">
        <v>25</v>
      </c>
      <c r="B28" s="10" t="s">
        <v>40</v>
      </c>
      <c r="C28" s="10" t="s">
        <v>5</v>
      </c>
      <c r="D28" s="23">
        <f t="shared" si="17"/>
        <v>2400</v>
      </c>
      <c r="E28" s="30">
        <f t="shared" si="18"/>
        <v>2413.56</v>
      </c>
      <c r="F28" s="24">
        <f t="shared" si="19"/>
        <v>2400</v>
      </c>
      <c r="G28" s="24">
        <v>0</v>
      </c>
      <c r="H28" s="24">
        <v>0</v>
      </c>
      <c r="I28" s="24">
        <v>1200</v>
      </c>
      <c r="J28" s="24">
        <v>1200</v>
      </c>
      <c r="K28" s="30">
        <f t="shared" si="20"/>
        <v>2413.56</v>
      </c>
      <c r="L28" s="30">
        <v>0</v>
      </c>
      <c r="M28" s="30">
        <v>0</v>
      </c>
      <c r="N28" s="30">
        <f t="shared" si="21"/>
        <v>1206.78</v>
      </c>
      <c r="O28" s="30">
        <f t="shared" si="22"/>
        <v>1206.78</v>
      </c>
      <c r="P28" s="9"/>
      <c r="Q28" s="9"/>
    </row>
    <row r="29" spans="1:17" s="8" customFormat="1" ht="24" customHeight="1" x14ac:dyDescent="0.2">
      <c r="A29" s="12" t="s">
        <v>28</v>
      </c>
      <c r="B29" s="10" t="s">
        <v>40</v>
      </c>
      <c r="C29" s="10" t="s">
        <v>5</v>
      </c>
      <c r="D29" s="23">
        <f t="shared" si="17"/>
        <v>1430</v>
      </c>
      <c r="E29" s="30">
        <f t="shared" si="18"/>
        <v>1438.0794999999998</v>
      </c>
      <c r="F29" s="24">
        <f t="shared" si="19"/>
        <v>1430</v>
      </c>
      <c r="G29" s="24">
        <v>0</v>
      </c>
      <c r="H29" s="24">
        <v>0</v>
      </c>
      <c r="I29" s="24">
        <f>350+360</f>
        <v>710</v>
      </c>
      <c r="J29" s="24">
        <v>720</v>
      </c>
      <c r="K29" s="30">
        <f t="shared" si="20"/>
        <v>1438.0794999999998</v>
      </c>
      <c r="L29" s="30">
        <v>0</v>
      </c>
      <c r="M29" s="30">
        <v>0</v>
      </c>
      <c r="N29" s="30">
        <f t="shared" si="21"/>
        <v>714.01149999999996</v>
      </c>
      <c r="O29" s="30">
        <f t="shared" si="22"/>
        <v>724.06799999999998</v>
      </c>
      <c r="P29" s="9"/>
      <c r="Q29" s="9"/>
    </row>
    <row r="30" spans="1:17" s="8" customFormat="1" ht="24" customHeight="1" x14ac:dyDescent="0.2">
      <c r="A30" s="12" t="s">
        <v>22</v>
      </c>
      <c r="B30" s="10" t="s">
        <v>40</v>
      </c>
      <c r="C30" s="10" t="s">
        <v>5</v>
      </c>
      <c r="D30" s="24">
        <f t="shared" si="17"/>
        <v>1200</v>
      </c>
      <c r="E30" s="30">
        <f t="shared" si="18"/>
        <v>1206.78</v>
      </c>
      <c r="F30" s="24">
        <f t="shared" si="19"/>
        <v>1200</v>
      </c>
      <c r="G30" s="24">
        <v>0</v>
      </c>
      <c r="H30" s="24">
        <v>0</v>
      </c>
      <c r="I30" s="24">
        <v>600</v>
      </c>
      <c r="J30" s="24">
        <v>600</v>
      </c>
      <c r="K30" s="30">
        <f t="shared" si="20"/>
        <v>1206.78</v>
      </c>
      <c r="L30" s="30">
        <v>0</v>
      </c>
      <c r="M30" s="30">
        <v>0</v>
      </c>
      <c r="N30" s="30">
        <f t="shared" si="21"/>
        <v>603.39</v>
      </c>
      <c r="O30" s="30">
        <f t="shared" si="22"/>
        <v>603.39</v>
      </c>
      <c r="P30" s="9">
        <v>0</v>
      </c>
      <c r="Q30" s="9">
        <v>0</v>
      </c>
    </row>
    <row r="31" spans="1:17" s="8" customFormat="1" ht="24" customHeight="1" x14ac:dyDescent="0.2">
      <c r="A31" s="12" t="s">
        <v>24</v>
      </c>
      <c r="B31" s="10" t="s">
        <v>40</v>
      </c>
      <c r="C31" s="10" t="s">
        <v>5</v>
      </c>
      <c r="D31" s="24">
        <f t="shared" si="17"/>
        <v>1104</v>
      </c>
      <c r="E31" s="30">
        <f t="shared" si="18"/>
        <v>1110.2375999999999</v>
      </c>
      <c r="F31" s="24">
        <f t="shared" si="19"/>
        <v>1104</v>
      </c>
      <c r="G31" s="24">
        <v>0</v>
      </c>
      <c r="H31" s="24">
        <v>0</v>
      </c>
      <c r="I31" s="24">
        <f>282+276</f>
        <v>558</v>
      </c>
      <c r="J31" s="24">
        <f>276+270</f>
        <v>546</v>
      </c>
      <c r="K31" s="30">
        <f t="shared" si="20"/>
        <v>1110.2375999999999</v>
      </c>
      <c r="L31" s="30">
        <v>0</v>
      </c>
      <c r="M31" s="30">
        <v>0</v>
      </c>
      <c r="N31" s="30">
        <f t="shared" si="21"/>
        <v>561.15269999999998</v>
      </c>
      <c r="O31" s="30">
        <f t="shared" si="22"/>
        <v>549.08490000000006</v>
      </c>
      <c r="P31" s="9">
        <v>0</v>
      </c>
      <c r="Q31" s="9">
        <v>0</v>
      </c>
    </row>
    <row r="32" spans="1:17" s="8" customFormat="1" ht="24" customHeight="1" x14ac:dyDescent="0.2">
      <c r="A32" s="12" t="s">
        <v>26</v>
      </c>
      <c r="B32" s="10" t="s">
        <v>40</v>
      </c>
      <c r="C32" s="10" t="s">
        <v>5</v>
      </c>
      <c r="D32" s="24">
        <f t="shared" si="17"/>
        <v>1440</v>
      </c>
      <c r="E32" s="30">
        <f t="shared" si="18"/>
        <v>1448.136</v>
      </c>
      <c r="F32" s="24">
        <f t="shared" si="19"/>
        <v>1440</v>
      </c>
      <c r="G32" s="24">
        <v>0</v>
      </c>
      <c r="H32" s="24">
        <v>0</v>
      </c>
      <c r="I32" s="24">
        <v>720</v>
      </c>
      <c r="J32" s="24">
        <v>720</v>
      </c>
      <c r="K32" s="30">
        <f t="shared" si="20"/>
        <v>1448.136</v>
      </c>
      <c r="L32" s="30">
        <v>0</v>
      </c>
      <c r="M32" s="30">
        <v>0</v>
      </c>
      <c r="N32" s="30">
        <f t="shared" si="21"/>
        <v>724.06799999999998</v>
      </c>
      <c r="O32" s="30">
        <f t="shared" si="22"/>
        <v>724.06799999999998</v>
      </c>
      <c r="P32" s="9"/>
      <c r="Q32" s="9"/>
    </row>
    <row r="33" spans="1:17" s="8" customFormat="1" ht="63.75" customHeight="1" x14ac:dyDescent="0.2">
      <c r="A33" s="17" t="s">
        <v>30</v>
      </c>
      <c r="B33" s="10" t="s">
        <v>10</v>
      </c>
      <c r="C33" s="15"/>
      <c r="D33" s="25">
        <f t="shared" ref="D33:O33" si="23">SUM(D34:D35)</f>
        <v>6000</v>
      </c>
      <c r="E33" s="31">
        <f t="shared" si="23"/>
        <v>6033.9</v>
      </c>
      <c r="F33" s="25">
        <f t="shared" si="23"/>
        <v>6000</v>
      </c>
      <c r="G33" s="25">
        <f t="shared" si="23"/>
        <v>0</v>
      </c>
      <c r="H33" s="25">
        <f t="shared" si="23"/>
        <v>0</v>
      </c>
      <c r="I33" s="25">
        <f t="shared" si="23"/>
        <v>3000</v>
      </c>
      <c r="J33" s="25">
        <f t="shared" si="23"/>
        <v>3000</v>
      </c>
      <c r="K33" s="31">
        <f t="shared" si="23"/>
        <v>6033.9</v>
      </c>
      <c r="L33" s="31">
        <f t="shared" si="23"/>
        <v>0</v>
      </c>
      <c r="M33" s="31">
        <f t="shared" si="23"/>
        <v>0</v>
      </c>
      <c r="N33" s="31">
        <f t="shared" si="23"/>
        <v>3016.95</v>
      </c>
      <c r="O33" s="31">
        <f t="shared" si="23"/>
        <v>3016.95</v>
      </c>
      <c r="P33" s="9">
        <v>0</v>
      </c>
      <c r="Q33" s="9">
        <v>0</v>
      </c>
    </row>
    <row r="34" spans="1:17" s="8" customFormat="1" ht="24" customHeight="1" x14ac:dyDescent="0.2">
      <c r="A34" s="12" t="s">
        <v>27</v>
      </c>
      <c r="B34" s="10" t="s">
        <v>40</v>
      </c>
      <c r="C34" s="10" t="s">
        <v>5</v>
      </c>
      <c r="D34" s="23">
        <f>F34</f>
        <v>3000</v>
      </c>
      <c r="E34" s="30">
        <f>K34</f>
        <v>3016.95</v>
      </c>
      <c r="F34" s="24">
        <f>SUM(G34:J34)</f>
        <v>3000</v>
      </c>
      <c r="G34" s="24">
        <v>0</v>
      </c>
      <c r="H34" s="24">
        <v>0</v>
      </c>
      <c r="I34" s="24">
        <v>1500</v>
      </c>
      <c r="J34" s="24">
        <v>1500</v>
      </c>
      <c r="K34" s="30">
        <f>SUM(L34:O34)</f>
        <v>3016.95</v>
      </c>
      <c r="L34" s="30">
        <v>0</v>
      </c>
      <c r="M34" s="30">
        <v>0</v>
      </c>
      <c r="N34" s="30">
        <f>I34*1005.65/1000</f>
        <v>1508.4749999999999</v>
      </c>
      <c r="O34" s="30">
        <f>J34*1005.65/1000</f>
        <v>1508.4749999999999</v>
      </c>
      <c r="P34" s="9"/>
      <c r="Q34" s="9"/>
    </row>
    <row r="35" spans="1:17" s="8" customFormat="1" ht="26.25" customHeight="1" x14ac:dyDescent="0.2">
      <c r="A35" s="12" t="s">
        <v>42</v>
      </c>
      <c r="B35" s="10" t="s">
        <v>40</v>
      </c>
      <c r="C35" s="10" t="s">
        <v>5</v>
      </c>
      <c r="D35" s="24">
        <f t="shared" ref="D35" si="24">F35</f>
        <v>3000</v>
      </c>
      <c r="E35" s="30">
        <f t="shared" ref="E35" si="25">K35</f>
        <v>3016.95</v>
      </c>
      <c r="F35" s="24">
        <f t="shared" ref="F35" si="26">SUM(G35:J35)</f>
        <v>3000</v>
      </c>
      <c r="G35" s="24">
        <v>0</v>
      </c>
      <c r="H35" s="24">
        <v>0</v>
      </c>
      <c r="I35" s="24">
        <v>1500</v>
      </c>
      <c r="J35" s="24">
        <v>1500</v>
      </c>
      <c r="K35" s="30">
        <f t="shared" ref="K35" si="27">SUM(L35:O35)</f>
        <v>3016.95</v>
      </c>
      <c r="L35" s="30">
        <v>0</v>
      </c>
      <c r="M35" s="30">
        <v>0</v>
      </c>
      <c r="N35" s="30">
        <f>I35*1005.65/1000</f>
        <v>1508.4749999999999</v>
      </c>
      <c r="O35" s="30">
        <f>J35*1005.65/1000</f>
        <v>1508.4749999999999</v>
      </c>
      <c r="P35" s="9"/>
      <c r="Q35" s="9"/>
    </row>
    <row r="36" spans="1:17" s="19" customFormat="1" ht="14.25" x14ac:dyDescent="0.2">
      <c r="A36" s="34" t="s">
        <v>6</v>
      </c>
      <c r="B36" s="34"/>
      <c r="C36" s="34"/>
      <c r="D36" s="26">
        <f t="shared" ref="D36:Q36" si="28">D10+D18+D24+D33</f>
        <v>39942</v>
      </c>
      <c r="E36" s="32">
        <f t="shared" si="28"/>
        <v>40167.672299999998</v>
      </c>
      <c r="F36" s="26">
        <f t="shared" si="28"/>
        <v>39942</v>
      </c>
      <c r="G36" s="26">
        <f t="shared" si="28"/>
        <v>0</v>
      </c>
      <c r="H36" s="26">
        <f t="shared" si="28"/>
        <v>0</v>
      </c>
      <c r="I36" s="26">
        <f t="shared" si="28"/>
        <v>20074</v>
      </c>
      <c r="J36" s="26">
        <f t="shared" si="28"/>
        <v>19868</v>
      </c>
      <c r="K36" s="32">
        <f t="shared" si="28"/>
        <v>40167.672299999998</v>
      </c>
      <c r="L36" s="32">
        <f t="shared" si="28"/>
        <v>0</v>
      </c>
      <c r="M36" s="32">
        <f t="shared" si="28"/>
        <v>0</v>
      </c>
      <c r="N36" s="32">
        <f t="shared" si="28"/>
        <v>20187.418099999999</v>
      </c>
      <c r="O36" s="32">
        <f t="shared" si="28"/>
        <v>19980.254199999999</v>
      </c>
      <c r="P36" s="18">
        <f t="shared" si="28"/>
        <v>0</v>
      </c>
      <c r="Q36" s="18">
        <f t="shared" si="28"/>
        <v>0</v>
      </c>
    </row>
    <row r="43" spans="1:17" x14ac:dyDescent="0.2">
      <c r="N43" s="16"/>
      <c r="O43" s="16"/>
    </row>
  </sheetData>
  <autoFilter ref="A9:O36"/>
  <mergeCells count="11">
    <mergeCell ref="A9:C9"/>
    <mergeCell ref="A36:C36"/>
    <mergeCell ref="A4:O4"/>
    <mergeCell ref="A6:A8"/>
    <mergeCell ref="B6:B8"/>
    <mergeCell ref="C6:C8"/>
    <mergeCell ref="F6:O6"/>
    <mergeCell ref="F7:J7"/>
    <mergeCell ref="K7:O7"/>
    <mergeCell ref="D6:D8"/>
    <mergeCell ref="E6:E8"/>
  </mergeCells>
  <pageMargins left="0.31496062992125984" right="0.11811023622047245" top="0.35433070866141736" bottom="0.15748031496062992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АПП поквартально</vt:lpstr>
      <vt:lpstr>'АПП поквартально'!Область_печати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Онермаа Монгуш</cp:lastModifiedBy>
  <cp:lastPrinted>2021-06-16T07:57:05Z</cp:lastPrinted>
  <dcterms:created xsi:type="dcterms:W3CDTF">2021-03-21T12:11:14Z</dcterms:created>
  <dcterms:modified xsi:type="dcterms:W3CDTF">2021-06-28T03:50:09Z</dcterms:modified>
</cp:coreProperties>
</file>